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Light_Bulbs" sheetId="1" r:id="rId1"/>
    <sheet name="KWh_Calc" sheetId="2" r:id="rId2"/>
  </sheets>
  <definedNames>
    <definedName name="_xlnm.Print_Area" localSheetId="1">'KWh_Calc'!$B$1:$G$27</definedName>
    <definedName name="_xlnm.Print_Area" localSheetId="0">'Light_Bulbs'!$B$1:$E$38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<sst xmlns="http://schemas.openxmlformats.org/spreadsheetml/2006/main" count="49" uniqueCount="46">
  <si>
    <t>Life Span (in hours)</t>
  </si>
  <si>
    <t>Watts</t>
  </si>
  <si>
    <t>Cost</t>
  </si>
  <si>
    <t>KWh of electricty used over 60k hours</t>
  </si>
  <si>
    <t>Bulbs needed for 60k hours of usage</t>
  </si>
  <si>
    <t>Equivalent 60k hour bulb expense</t>
  </si>
  <si>
    <t>Total 60,000 Hour Lighting Spend</t>
  </si>
  <si>
    <t>Calculate Your Energy Savings</t>
  </si>
  <si>
    <t>Your estimated daily usage (hours)</t>
  </si>
  <si>
    <t>Days in month</t>
  </si>
  <si>
    <r>
      <t xml:space="preserve">Household savings over 60,000 hours </t>
    </r>
    <r>
      <rPr>
        <i/>
        <sz val="8"/>
        <rFont val="Arial"/>
        <family val="2"/>
      </rPr>
      <t>(energy + replacement)</t>
    </r>
  </si>
  <si>
    <t>Household cost</t>
  </si>
  <si>
    <t>Monthly household energy savings</t>
  </si>
  <si>
    <t>KWh used per month</t>
  </si>
  <si>
    <t>Yearly household energy savings</t>
  </si>
  <si>
    <t>KWh used per year</t>
  </si>
  <si>
    <t>productdose.com comments:</t>
  </si>
  <si>
    <t>blue font = input your personal data here</t>
  </si>
  <si>
    <t>KWh = Kilowatt-hours</t>
  </si>
  <si>
    <t>Choose KWh rate type: *</t>
  </si>
  <si>
    <t>black font = pre-calculated cells</t>
  </si>
  <si>
    <t>* change the data on the next tab.</t>
  </si>
  <si>
    <t>1 = Average rate</t>
  </si>
  <si>
    <t>underlined text = where to buy / product info</t>
  </si>
  <si>
    <t>2 = Highest rate</t>
  </si>
  <si>
    <t>3 = Your own rate</t>
  </si>
  <si>
    <t>Calculate Your Monthly Kilowatt-hours</t>
  </si>
  <si>
    <t>Starting Month</t>
  </si>
  <si>
    <t>Month of Bill</t>
  </si>
  <si>
    <t>Total Energy Bill</t>
  </si>
  <si>
    <t>Total Kilowatt-Hours Used</t>
  </si>
  <si>
    <t>Average KWh</t>
  </si>
  <si>
    <t>Highest Rate¹</t>
  </si>
  <si>
    <t>Put in your own rate:</t>
  </si>
  <si>
    <t>blue font = input cells</t>
  </si>
  <si>
    <t>black font = calculated cells</t>
  </si>
  <si>
    <t>bills, the highest rate will be the first amount to get reduced. And you will see a more dramatic difference in your savings</t>
  </si>
  <si>
    <t>Incandescent Light Bulbs</t>
  </si>
  <si>
    <t># of household light bulbs</t>
  </si>
  <si>
    <t>Savings by switching from Incandescent</t>
  </si>
  <si>
    <t>All data from manufacturer as of 5/2/16</t>
  </si>
  <si>
    <t>Convert shilling to dollar dived by 100</t>
  </si>
  <si>
    <r>
      <rPr>
        <b/>
        <sz val="10"/>
        <color indexed="9"/>
        <rFont val="Arial"/>
        <family val="2"/>
      </rPr>
      <t>CFL</t>
    </r>
    <r>
      <rPr>
        <sz val="10"/>
        <color indexed="9"/>
        <rFont val="Arial"/>
        <family val="2"/>
      </rPr>
      <t xml:space="preserve">
</t>
    </r>
    <r>
      <rPr>
        <sz val="8"/>
        <color indexed="9"/>
        <rFont val="Arial"/>
        <family val="2"/>
      </rPr>
      <t>(Compact Fluorescent Light Bulbs)</t>
    </r>
  </si>
  <si>
    <r>
      <rPr>
        <b/>
        <sz val="10"/>
        <color indexed="9"/>
        <rFont val="Arial"/>
        <family val="2"/>
      </rPr>
      <t>LED</t>
    </r>
    <r>
      <rPr>
        <sz val="10"/>
        <color indexed="9"/>
        <rFont val="Arial"/>
        <family val="2"/>
      </rPr>
      <t xml:space="preserve">
</t>
    </r>
    <r>
      <rPr>
        <sz val="8"/>
        <color indexed="9"/>
        <rFont val="Arial"/>
        <family val="2"/>
      </rPr>
      <t>(Light-Emitting Diode Light Bulbs)</t>
    </r>
  </si>
  <si>
    <t xml:space="preserve">¹ You can also put in the highest tier rate charged by your utility, figures quoted here are from KPLC, if you lower your energy </t>
  </si>
  <si>
    <t>Kiri Energy Savings Calculator for Replacing Light Bulbs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</si>
</sst>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.000_);&quot;($&quot;#,##0.000\)"/>
    <numFmt numFmtId="165" formatCode="\$#,##0.00_);&quot;($&quot;#,##0.00\)"/>
    <numFmt numFmtId="166" formatCode="mmmm\-yy;@"/>
    <numFmt numFmtId="167" formatCode="\$#,##0.00"/>
    <numFmt numFmtId="168" formatCode="#,##0.000_);\(#,##0.000\)"/>
    <numFmt numFmtId="169" formatCode="mm/yyyy"/>
    <numFmt numFmtId="170" formatCode="mmmm\ yy"/>
    <numFmt numFmtId="171" formatCode="0.000_);\(0.000\)"/>
    <numFmt numFmtId="172" formatCode="&quot;$&quot;#,##0.00"/>
    <numFmt numFmtId="173" formatCode="[$-409]dd\ mmmm\,\ yyyy"/>
    <numFmt numFmtId="174" formatCode="[$-409]h:mm:ss\ AM/PM"/>
  </numFmts>
  <fonts count="49">
    <font>
      <sz val="10"/>
      <name val="Arial"/>
      <family val="0"/>
    </font>
    <font>
      <b/>
      <sz val="12"/>
      <name val="Arial"/>
      <family val="2"/>
    </font>
    <font>
      <sz val="10"/>
      <color indexed="9"/>
      <name val="Arial"/>
      <family val="0"/>
    </font>
    <font>
      <sz val="8"/>
      <color indexed="9"/>
      <name val="Arial"/>
      <family val="2"/>
    </font>
    <font>
      <sz val="10"/>
      <color indexed="12"/>
      <name val="Arial"/>
      <family val="0"/>
    </font>
    <font>
      <u val="single"/>
      <sz val="10"/>
      <color indexed="12"/>
      <name val="Arial"/>
      <family val="0"/>
    </font>
    <font>
      <u val="single"/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8"/>
      <color indexed="12"/>
      <name val="Arial"/>
      <family val="2"/>
    </font>
    <font>
      <sz val="8"/>
      <name val="Arial"/>
      <family val="2"/>
    </font>
    <font>
      <sz val="8"/>
      <color indexed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rgb="FF00B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37" fontId="0" fillId="0" borderId="0" xfId="0" applyNumberFormat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37" fontId="4" fillId="0" borderId="0" xfId="0" applyNumberFormat="1" applyFont="1" applyAlignment="1">
      <alignment/>
    </xf>
    <xf numFmtId="164" fontId="6" fillId="0" borderId="0" xfId="52" applyNumberFormat="1" applyFont="1" applyFill="1" applyBorder="1" applyAlignment="1" applyProtection="1">
      <alignment/>
      <protection/>
    </xf>
    <xf numFmtId="165" fontId="6" fillId="0" borderId="0" xfId="52" applyNumberFormat="1" applyFont="1" applyFill="1" applyBorder="1" applyAlignment="1" applyProtection="1">
      <alignment/>
      <protection/>
    </xf>
    <xf numFmtId="165" fontId="0" fillId="0" borderId="0" xfId="0" applyNumberFormat="1" applyAlignment="1">
      <alignment/>
    </xf>
    <xf numFmtId="0" fontId="0" fillId="0" borderId="11" xfId="0" applyFont="1" applyBorder="1" applyAlignment="1">
      <alignment/>
    </xf>
    <xf numFmtId="165" fontId="0" fillId="0" borderId="11" xfId="0" applyNumberFormat="1" applyBorder="1" applyAlignment="1">
      <alignment/>
    </xf>
    <xf numFmtId="0" fontId="7" fillId="0" borderId="0" xfId="0" applyFont="1" applyFill="1" applyBorder="1" applyAlignment="1">
      <alignment/>
    </xf>
    <xf numFmtId="165" fontId="7" fillId="0" borderId="0" xfId="0" applyNumberFormat="1" applyFont="1" applyAlignment="1">
      <alignment/>
    </xf>
    <xf numFmtId="0" fontId="7" fillId="0" borderId="10" xfId="0" applyFont="1" applyBorder="1" applyAlignment="1">
      <alignment/>
    </xf>
    <xf numFmtId="0" fontId="0" fillId="0" borderId="0" xfId="0" applyFont="1" applyAlignment="1">
      <alignment/>
    </xf>
    <xf numFmtId="0" fontId="8" fillId="0" borderId="11" xfId="0" applyFont="1" applyFill="1" applyBorder="1" applyAlignment="1">
      <alignment/>
    </xf>
    <xf numFmtId="37" fontId="4" fillId="0" borderId="11" xfId="0" applyNumberFormat="1" applyFont="1" applyBorder="1" applyAlignment="1">
      <alignment/>
    </xf>
    <xf numFmtId="0" fontId="8" fillId="0" borderId="11" xfId="0" applyFont="1" applyBorder="1" applyAlignment="1">
      <alignment/>
    </xf>
    <xf numFmtId="37" fontId="0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37" fontId="0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37" fontId="11" fillId="0" borderId="0" xfId="0" applyNumberFormat="1" applyFont="1" applyAlignment="1">
      <alignment/>
    </xf>
    <xf numFmtId="0" fontId="12" fillId="0" borderId="0" xfId="0" applyFont="1" applyAlignment="1">
      <alignment/>
    </xf>
    <xf numFmtId="166" fontId="12" fillId="0" borderId="0" xfId="0" applyNumberFormat="1" applyFont="1" applyAlignment="1">
      <alignment/>
    </xf>
    <xf numFmtId="37" fontId="11" fillId="33" borderId="12" xfId="0" applyNumberFormat="1" applyFont="1" applyFill="1" applyBorder="1" applyAlignment="1">
      <alignment horizontal="center"/>
    </xf>
    <xf numFmtId="166" fontId="13" fillId="0" borderId="0" xfId="0" applyNumberFormat="1" applyFont="1" applyAlignment="1">
      <alignment/>
    </xf>
    <xf numFmtId="167" fontId="12" fillId="0" borderId="0" xfId="0" applyNumberFormat="1" applyFont="1" applyAlignment="1">
      <alignment horizontal="left"/>
    </xf>
    <xf numFmtId="166" fontId="0" fillId="0" borderId="0" xfId="0" applyNumberFormat="1" applyAlignment="1">
      <alignment/>
    </xf>
    <xf numFmtId="167" fontId="0" fillId="0" borderId="0" xfId="0" applyNumberFormat="1" applyAlignment="1">
      <alignment horizontal="right"/>
    </xf>
    <xf numFmtId="37" fontId="0" fillId="0" borderId="0" xfId="0" applyNumberFormat="1" applyAlignment="1">
      <alignment horizontal="right"/>
    </xf>
    <xf numFmtId="168" fontId="0" fillId="0" borderId="0" xfId="0" applyNumberFormat="1" applyAlignment="1">
      <alignment horizontal="right"/>
    </xf>
    <xf numFmtId="0" fontId="0" fillId="0" borderId="0" xfId="0" applyFont="1" applyAlignment="1">
      <alignment horizontal="right"/>
    </xf>
    <xf numFmtId="169" fontId="4" fillId="0" borderId="0" xfId="0" applyNumberFormat="1" applyFont="1" applyAlignment="1">
      <alignment horizontal="left"/>
    </xf>
    <xf numFmtId="0" fontId="2" fillId="34" borderId="13" xfId="0" applyFont="1" applyFill="1" applyBorder="1" applyAlignment="1">
      <alignment wrapText="1"/>
    </xf>
    <xf numFmtId="0" fontId="2" fillId="34" borderId="14" xfId="0" applyFont="1" applyFill="1" applyBorder="1" applyAlignment="1">
      <alignment horizontal="right" wrapText="1"/>
    </xf>
    <xf numFmtId="0" fontId="2" fillId="34" borderId="14" xfId="0" applyFont="1" applyFill="1" applyBorder="1" applyAlignment="1">
      <alignment wrapText="1"/>
    </xf>
    <xf numFmtId="0" fontId="2" fillId="34" borderId="15" xfId="0" applyFont="1" applyFill="1" applyBorder="1" applyAlignment="1">
      <alignment horizontal="right" wrapText="1"/>
    </xf>
    <xf numFmtId="170" fontId="0" fillId="0" borderId="0" xfId="0" applyNumberFormat="1" applyAlignment="1">
      <alignment horizontal="left"/>
    </xf>
    <xf numFmtId="167" fontId="4" fillId="0" borderId="0" xfId="0" applyNumberFormat="1" applyFont="1" applyAlignment="1">
      <alignment horizontal="right"/>
    </xf>
    <xf numFmtId="37" fontId="4" fillId="0" borderId="0" xfId="0" applyNumberFormat="1" applyFont="1" applyAlignment="1">
      <alignment horizontal="right"/>
    </xf>
    <xf numFmtId="171" fontId="0" fillId="0" borderId="0" xfId="0" applyNumberFormat="1" applyAlignment="1">
      <alignment/>
    </xf>
    <xf numFmtId="170" fontId="0" fillId="0" borderId="11" xfId="0" applyNumberFormat="1" applyBorder="1" applyAlignment="1">
      <alignment horizontal="left"/>
    </xf>
    <xf numFmtId="167" fontId="4" fillId="0" borderId="11" xfId="0" applyNumberFormat="1" applyFont="1" applyBorder="1" applyAlignment="1">
      <alignment horizontal="right"/>
    </xf>
    <xf numFmtId="37" fontId="4" fillId="0" borderId="11" xfId="0" applyNumberFormat="1" applyFont="1" applyBorder="1" applyAlignment="1">
      <alignment horizontal="right"/>
    </xf>
    <xf numFmtId="168" fontId="0" fillId="0" borderId="11" xfId="0" applyNumberFormat="1" applyBorder="1" applyAlignment="1">
      <alignment horizontal="right"/>
    </xf>
    <xf numFmtId="171" fontId="0" fillId="0" borderId="11" xfId="0" applyNumberFormat="1" applyBorder="1" applyAlignment="1">
      <alignment/>
    </xf>
    <xf numFmtId="166" fontId="7" fillId="0" borderId="0" xfId="0" applyNumberFormat="1" applyFont="1" applyAlignment="1">
      <alignment/>
    </xf>
    <xf numFmtId="167" fontId="7" fillId="0" borderId="0" xfId="0" applyNumberFormat="1" applyFont="1" applyAlignment="1">
      <alignment horizontal="right"/>
    </xf>
    <xf numFmtId="37" fontId="7" fillId="0" borderId="0" xfId="0" applyNumberFormat="1" applyFont="1" applyAlignment="1">
      <alignment horizontal="right"/>
    </xf>
    <xf numFmtId="168" fontId="7" fillId="0" borderId="0" xfId="0" applyNumberFormat="1" applyFont="1" applyAlignment="1">
      <alignment horizontal="right"/>
    </xf>
    <xf numFmtId="0" fontId="12" fillId="0" borderId="0" xfId="0" applyFont="1" applyAlignment="1">
      <alignment horizontal="left" indent="1"/>
    </xf>
    <xf numFmtId="165" fontId="4" fillId="0" borderId="0" xfId="0" applyNumberFormat="1" applyFont="1" applyAlignment="1">
      <alignment horizontal="right"/>
    </xf>
    <xf numFmtId="172" fontId="0" fillId="0" borderId="0" xfId="44" applyNumberFormat="1" applyAlignment="1">
      <alignment/>
    </xf>
    <xf numFmtId="0" fontId="2" fillId="35" borderId="13" xfId="0" applyFont="1" applyFill="1" applyBorder="1" applyAlignment="1">
      <alignment/>
    </xf>
    <xf numFmtId="0" fontId="31" fillId="35" borderId="14" xfId="0" applyFont="1" applyFill="1" applyBorder="1" applyAlignment="1">
      <alignment horizontal="center" vertical="center"/>
    </xf>
    <xf numFmtId="0" fontId="2" fillId="35" borderId="14" xfId="0" applyFont="1" applyFill="1" applyBorder="1" applyAlignment="1">
      <alignment horizontal="center" wrapText="1"/>
    </xf>
    <xf numFmtId="0" fontId="2" fillId="35" borderId="15" xfId="0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showGridLines="0" tabSelected="1" zoomScalePageLayoutView="0" workbookViewId="0" topLeftCell="A1">
      <selection activeCell="C6" sqref="C6"/>
    </sheetView>
  </sheetViews>
  <sheetFormatPr defaultColWidth="0" defaultRowHeight="12.75" zeroHeight="1"/>
  <cols>
    <col min="1" max="1" width="2.57421875" style="0" customWidth="1"/>
    <col min="2" max="2" width="39.57421875" style="0" customWidth="1"/>
    <col min="3" max="3" width="24.28125" style="0" customWidth="1"/>
    <col min="4" max="4" width="25.140625" style="0" customWidth="1"/>
    <col min="5" max="5" width="23.8515625" style="0" customWidth="1"/>
    <col min="6" max="6" width="2.57421875" style="0" customWidth="1"/>
    <col min="7" max="7" width="0" style="0" hidden="1" customWidth="1"/>
    <col min="8" max="8" width="0" style="1" hidden="1" customWidth="1"/>
    <col min="9" max="16384" width="0" style="0" hidden="1" customWidth="1"/>
  </cols>
  <sheetData>
    <row r="1" ht="5.25" customHeight="1">
      <c r="H1"/>
    </row>
    <row r="2" spans="2:8" ht="15.75">
      <c r="B2" s="2" t="s">
        <v>45</v>
      </c>
      <c r="C2" s="3"/>
      <c r="D2" s="3"/>
      <c r="E2" s="3"/>
      <c r="H2"/>
    </row>
    <row r="3" ht="5.25" customHeight="1">
      <c r="H3"/>
    </row>
    <row r="4" spans="2:8" ht="23.25" customHeight="1">
      <c r="B4" s="54"/>
      <c r="C4" s="55" t="s">
        <v>37</v>
      </c>
      <c r="D4" s="56" t="s">
        <v>42</v>
      </c>
      <c r="E4" s="57" t="s">
        <v>43</v>
      </c>
      <c r="H4"/>
    </row>
    <row r="5" ht="3" customHeight="1">
      <c r="H5"/>
    </row>
    <row r="6" spans="2:8" ht="12.75">
      <c r="B6" t="s">
        <v>0</v>
      </c>
      <c r="C6" s="4">
        <v>1500</v>
      </c>
      <c r="D6" s="4">
        <v>10000</v>
      </c>
      <c r="E6" s="4">
        <v>60000</v>
      </c>
      <c r="H6"/>
    </row>
    <row r="7" spans="2:8" ht="12.75">
      <c r="B7" t="s">
        <v>1</v>
      </c>
      <c r="C7" s="4">
        <v>60</v>
      </c>
      <c r="D7" s="4">
        <v>13</v>
      </c>
      <c r="E7" s="4">
        <v>5</v>
      </c>
      <c r="H7"/>
    </row>
    <row r="8" spans="2:8" ht="12.75">
      <c r="B8" t="s">
        <v>2</v>
      </c>
      <c r="C8" s="5">
        <v>0.55</v>
      </c>
      <c r="D8" s="6">
        <v>3</v>
      </c>
      <c r="E8" s="6">
        <v>3.5</v>
      </c>
      <c r="H8"/>
    </row>
    <row r="9" spans="2:8" ht="12.75">
      <c r="B9" t="s">
        <v>3</v>
      </c>
      <c r="C9" s="1">
        <f>+(C7*$E$6)/1000</f>
        <v>3600</v>
      </c>
      <c r="D9" s="1">
        <f>+(D7*$E$6)/1000</f>
        <v>780</v>
      </c>
      <c r="E9" s="1">
        <f>+(E7*$E$6)/1000</f>
        <v>300</v>
      </c>
      <c r="H9"/>
    </row>
    <row r="10" spans="2:8" ht="12.75">
      <c r="B10" t="str">
        <f>+"Electricity Cost (@ "&amp;TEXT(CHOOSE(Light_Bulbs!$E$36,KWh_Calc!$E$19,KWh_Calc!$G$19,KWh_Calc!$E$21),"$0.00")&amp;" per KWh)"</f>
        <v>Electricity Cost (@ $0.20 per KWh)</v>
      </c>
      <c r="C10" s="53">
        <f>+C9*CHOOSE(Light_Bulbs!$E$36,KWh_Calc!$E$19,KWh_Calc!$G$19,KWh_Calc!$E$21)</f>
        <v>712.8000000000001</v>
      </c>
      <c r="D10" s="7">
        <f>+D9*CHOOSE(Light_Bulbs!$E$36,KWh_Calc!$E$19,KWh_Calc!$G$19,KWh_Calc!$E$21)</f>
        <v>154.44</v>
      </c>
      <c r="E10" s="7">
        <f>+E9*CHOOSE(Light_Bulbs!$E$36,KWh_Calc!$E$19,KWh_Calc!$G$19,KWh_Calc!$E$21)</f>
        <v>59.400000000000006</v>
      </c>
      <c r="H10"/>
    </row>
    <row r="11" spans="2:8" ht="12.75">
      <c r="B11" t="s">
        <v>4</v>
      </c>
      <c r="C11" s="1">
        <f>ROUNDDOWN($E$6/C6,0)</f>
        <v>40</v>
      </c>
      <c r="D11" s="1">
        <f>ROUNDDOWN($E$6/D6,0)</f>
        <v>6</v>
      </c>
      <c r="E11" s="1">
        <f>ROUNDDOWN($E$6/E6,0)</f>
        <v>1</v>
      </c>
      <c r="H11"/>
    </row>
    <row r="12" spans="2:8" ht="12.75">
      <c r="B12" s="8" t="s">
        <v>5</v>
      </c>
      <c r="C12" s="9">
        <f>C11*C8</f>
        <v>22</v>
      </c>
      <c r="D12" s="9">
        <f>D11*D8</f>
        <v>18</v>
      </c>
      <c r="E12" s="9">
        <f>E11*E8</f>
        <v>3.5</v>
      </c>
      <c r="H12"/>
    </row>
    <row r="13" spans="2:8" ht="12.75">
      <c r="B13" s="10" t="s">
        <v>6</v>
      </c>
      <c r="C13" s="11">
        <f>+C10+C12:C12</f>
        <v>734.8000000000001</v>
      </c>
      <c r="D13" s="11">
        <f>+D10+D12:D12</f>
        <v>172.44</v>
      </c>
      <c r="E13" s="11">
        <f>+E10+E12:E12</f>
        <v>62.900000000000006</v>
      </c>
      <c r="H13"/>
    </row>
    <row r="14" ht="12.75">
      <c r="H14"/>
    </row>
    <row r="15" spans="2:8" ht="12.75">
      <c r="B15" s="12" t="s">
        <v>7</v>
      </c>
      <c r="C15" s="3"/>
      <c r="D15" s="3"/>
      <c r="E15" s="3"/>
      <c r="H15"/>
    </row>
    <row r="16" ht="3" customHeight="1">
      <c r="H16"/>
    </row>
    <row r="17" spans="2:8" ht="12.75">
      <c r="B17" s="13" t="s">
        <v>38</v>
      </c>
      <c r="C17" s="4">
        <v>6</v>
      </c>
      <c r="D17" s="4">
        <v>6</v>
      </c>
      <c r="E17" s="4">
        <v>6</v>
      </c>
      <c r="H17"/>
    </row>
    <row r="18" spans="2:8" ht="12.75" customHeight="1">
      <c r="B18" t="s">
        <v>8</v>
      </c>
      <c r="C18" s="4">
        <v>5</v>
      </c>
      <c r="D18" s="4">
        <v>5</v>
      </c>
      <c r="E18" s="4">
        <v>5</v>
      </c>
      <c r="H18"/>
    </row>
    <row r="19" spans="2:8" ht="12.75" customHeight="1">
      <c r="B19" t="s">
        <v>9</v>
      </c>
      <c r="C19" s="4">
        <v>30</v>
      </c>
      <c r="D19" s="4">
        <v>30</v>
      </c>
      <c r="E19" s="4">
        <v>30</v>
      </c>
      <c r="H19"/>
    </row>
    <row r="20" spans="2:8" ht="3.75" customHeight="1">
      <c r="B20" s="13"/>
      <c r="C20" s="4"/>
      <c r="D20" s="4"/>
      <c r="E20" s="4"/>
      <c r="H20"/>
    </row>
    <row r="21" spans="2:5" ht="12.75">
      <c r="B21" s="14" t="s">
        <v>10</v>
      </c>
      <c r="C21" s="15"/>
      <c r="D21" s="15"/>
      <c r="E21" s="15"/>
    </row>
    <row r="22" spans="2:5" ht="12.75">
      <c r="B22" s="13" t="s">
        <v>11</v>
      </c>
      <c r="C22" s="7">
        <f>+C17*C13</f>
        <v>4408.8</v>
      </c>
      <c r="D22" s="7">
        <f>+D17*D13</f>
        <v>1034.6399999999999</v>
      </c>
      <c r="E22" s="7">
        <f>+E17*E13</f>
        <v>377.40000000000003</v>
      </c>
    </row>
    <row r="23" spans="2:5" ht="12.75">
      <c r="B23" s="13" t="s">
        <v>39</v>
      </c>
      <c r="C23" s="7">
        <f>+$C$22-C22</f>
        <v>0</v>
      </c>
      <c r="D23" s="7">
        <f>+$C$22-D22</f>
        <v>3374.1600000000003</v>
      </c>
      <c r="E23" s="7">
        <f>+C22-E22</f>
        <v>4031.4</v>
      </c>
    </row>
    <row r="24" ht="4.5" customHeight="1">
      <c r="H24"/>
    </row>
    <row r="25" spans="2:5" ht="12.75" customHeight="1">
      <c r="B25" s="16" t="s">
        <v>12</v>
      </c>
      <c r="C25" s="8"/>
      <c r="D25" s="8"/>
      <c r="E25" s="8"/>
    </row>
    <row r="26" spans="2:5" ht="12.75" customHeight="1">
      <c r="B26" t="s">
        <v>13</v>
      </c>
      <c r="C26" s="17">
        <f>(C19*C18*C7*C17)/1000</f>
        <v>54</v>
      </c>
      <c r="D26" s="17">
        <f>(D19*D18*D7*D17)/1000</f>
        <v>11.7</v>
      </c>
      <c r="E26" s="17">
        <f>(E19*E18*E7*E17)/1000</f>
        <v>4.5</v>
      </c>
    </row>
    <row r="27" spans="2:5" ht="12.75">
      <c r="B27" t="str">
        <f>+"Electricity Cost (@ "&amp;TEXT(CHOOSE(Light_Bulbs!$E$36,KWh_Calc!$E$19,KWh_Calc!$G$19,KWh_Calc!$E$21),"$0.00")&amp;" per KWh)"</f>
        <v>Electricity Cost (@ $0.20 per KWh)</v>
      </c>
      <c r="C27" s="7">
        <f>C26*CHOOSE(Light_Bulbs!$E$36,KWh_Calc!$E$19,KWh_Calc!$G$19,KWh_Calc!$E$21)</f>
        <v>10.692</v>
      </c>
      <c r="D27" s="7">
        <f>D26*CHOOSE(Light_Bulbs!$E$36,KWh_Calc!$E$19,KWh_Calc!$G$19,KWh_Calc!$E$21)</f>
        <v>2.3165999999999998</v>
      </c>
      <c r="E27" s="7">
        <f>E26*CHOOSE(Light_Bulbs!$E$36,KWh_Calc!$E$19,KWh_Calc!$G$19,KWh_Calc!$E$21)</f>
        <v>0.891</v>
      </c>
    </row>
    <row r="28" spans="2:5" ht="12.75">
      <c r="B28" t="s">
        <v>39</v>
      </c>
      <c r="C28" s="7">
        <f>+$C27-C27</f>
        <v>0</v>
      </c>
      <c r="D28" s="7">
        <f>+$C27-D27</f>
        <v>8.3754</v>
      </c>
      <c r="E28" s="7">
        <f>+$C27-E27</f>
        <v>9.801</v>
      </c>
    </row>
    <row r="29" ht="4.5" customHeight="1">
      <c r="A29" s="18"/>
    </row>
    <row r="30" spans="1:8" s="19" customFormat="1" ht="12.75">
      <c r="A30"/>
      <c r="B30" s="16" t="s">
        <v>14</v>
      </c>
      <c r="C30" s="16"/>
      <c r="D30" s="16"/>
      <c r="E30" s="16"/>
      <c r="H30" s="1"/>
    </row>
    <row r="31" spans="1:8" s="19" customFormat="1" ht="12.75">
      <c r="A31"/>
      <c r="B31" t="s">
        <v>15</v>
      </c>
      <c r="C31" s="20">
        <f>(C7*C17*C18*365)/1000</f>
        <v>657</v>
      </c>
      <c r="D31" s="20">
        <f>(D7*D17*D18*365)/1000</f>
        <v>142.35</v>
      </c>
      <c r="E31" s="20">
        <f>(E7*E17*E18*365)/1000</f>
        <v>54.75</v>
      </c>
      <c r="H31" s="1"/>
    </row>
    <row r="32" spans="1:5" s="19" customFormat="1" ht="12.75">
      <c r="A32"/>
      <c r="B32" t="str">
        <f>+"Electricity Cost (@ "&amp;TEXT(CHOOSE(Light_Bulbs!$E$36,KWh_Calc!$E$19,KWh_Calc!$G$19,KWh_Calc!$E$21),"$0.00")&amp;" per KWh)"</f>
        <v>Electricity Cost (@ $0.20 per KWh)</v>
      </c>
      <c r="C32" s="7">
        <f>C31*CHOOSE(Light_Bulbs!$E$36,KWh_Calc!$E$19,KWh_Calc!$G$19,KWh_Calc!$E$21)</f>
        <v>130.086</v>
      </c>
      <c r="D32" s="7">
        <f>D31*CHOOSE(Light_Bulbs!$E$36,KWh_Calc!$E$19,KWh_Calc!$G$19,KWh_Calc!$E$21)</f>
        <v>28.1853</v>
      </c>
      <c r="E32" s="7">
        <f>E31*CHOOSE(Light_Bulbs!$E$36,KWh_Calc!$E$19,KWh_Calc!$G$19,KWh_Calc!$E$21)</f>
        <v>10.8405</v>
      </c>
    </row>
    <row r="33" spans="1:5" s="19" customFormat="1" ht="12.75">
      <c r="A33"/>
      <c r="B33" t="s">
        <v>39</v>
      </c>
      <c r="C33" s="7">
        <f>+$C32-C32</f>
        <v>0</v>
      </c>
      <c r="D33" s="7">
        <f>+$C32-D32</f>
        <v>101.90070000000001</v>
      </c>
      <c r="E33" s="7">
        <f>+$C32-E32</f>
        <v>119.2455</v>
      </c>
    </row>
    <row r="34" spans="1:5" s="19" customFormat="1" ht="12.75">
      <c r="A34"/>
      <c r="B34" s="16"/>
      <c r="C34" s="16"/>
      <c r="D34" s="16"/>
      <c r="E34" s="16"/>
    </row>
    <row r="35" ht="12.75">
      <c r="B35" s="21" t="s">
        <v>16</v>
      </c>
    </row>
    <row r="36" spans="2:5" ht="12.75">
      <c r="B36" s="22" t="s">
        <v>17</v>
      </c>
      <c r="C36" s="23" t="s">
        <v>18</v>
      </c>
      <c r="D36" s="24" t="s">
        <v>19</v>
      </c>
      <c r="E36" s="25">
        <v>3</v>
      </c>
    </row>
    <row r="37" spans="2:5" ht="12.75">
      <c r="B37" s="23" t="s">
        <v>20</v>
      </c>
      <c r="D37" s="26" t="s">
        <v>21</v>
      </c>
      <c r="E37" s="27" t="s">
        <v>22</v>
      </c>
    </row>
    <row r="38" spans="2:5" ht="12.75">
      <c r="B38" s="23" t="s">
        <v>23</v>
      </c>
      <c r="D38" s="24"/>
      <c r="E38" s="27" t="s">
        <v>24</v>
      </c>
    </row>
    <row r="39" spans="2:5" ht="12.75">
      <c r="B39" s="23" t="s">
        <v>40</v>
      </c>
      <c r="D39" s="24"/>
      <c r="E39" s="27" t="s">
        <v>25</v>
      </c>
    </row>
    <row r="40" spans="2:4" ht="12.75">
      <c r="B40" s="23" t="s">
        <v>41</v>
      </c>
      <c r="D40" s="28"/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27"/>
  <sheetViews>
    <sheetView showGridLines="0" zoomScalePageLayoutView="0" workbookViewId="0" topLeftCell="A1">
      <selection activeCell="C25" sqref="C25"/>
    </sheetView>
  </sheetViews>
  <sheetFormatPr defaultColWidth="0" defaultRowHeight="12.75" zeroHeight="1"/>
  <cols>
    <col min="1" max="1" width="2.57421875" style="0" customWidth="1"/>
    <col min="2" max="2" width="32.8515625" style="0" customWidth="1"/>
    <col min="3" max="3" width="24.140625" style="29" customWidth="1"/>
    <col min="4" max="4" width="23.28125" style="30" customWidth="1"/>
    <col min="5" max="5" width="20.00390625" style="31" customWidth="1"/>
    <col min="6" max="6" width="2.28125" style="0" customWidth="1"/>
    <col min="7" max="7" width="20.7109375" style="0" customWidth="1"/>
    <col min="8" max="8" width="2.57421875" style="0" customWidth="1"/>
    <col min="9" max="16384" width="0" style="0" hidden="1" customWidth="1"/>
  </cols>
  <sheetData>
    <row r="1" spans="3:5" ht="5.25" customHeight="1">
      <c r="C1"/>
      <c r="D1"/>
      <c r="E1"/>
    </row>
    <row r="2" spans="2:7" ht="15.75">
      <c r="B2" s="2" t="s">
        <v>26</v>
      </c>
      <c r="C2" s="3"/>
      <c r="D2" s="3"/>
      <c r="E2" s="3"/>
      <c r="F2" s="3"/>
      <c r="G2" s="3"/>
    </row>
    <row r="3" spans="3:5" ht="4.5" customHeight="1">
      <c r="C3"/>
      <c r="D3"/>
      <c r="E3"/>
    </row>
    <row r="4" spans="3:7" ht="12.75">
      <c r="C4"/>
      <c r="D4"/>
      <c r="E4" s="32" t="s">
        <v>27</v>
      </c>
      <c r="G4" s="33">
        <v>42461</v>
      </c>
    </row>
    <row r="5" spans="3:5" ht="12.75">
      <c r="C5"/>
      <c r="D5"/>
      <c r="E5"/>
    </row>
    <row r="6" spans="2:7" ht="24" customHeight="1">
      <c r="B6" s="34" t="s">
        <v>28</v>
      </c>
      <c r="C6" s="35" t="s">
        <v>29</v>
      </c>
      <c r="D6" s="35" t="s">
        <v>30</v>
      </c>
      <c r="E6" s="35" t="s">
        <v>31</v>
      </c>
      <c r="F6" s="36"/>
      <c r="G6" s="37" t="s">
        <v>32</v>
      </c>
    </row>
    <row r="7" spans="2:7" ht="12.75">
      <c r="B7" s="38">
        <f>+EOMONTH($G$4,0)</f>
        <v>42490</v>
      </c>
      <c r="C7" s="39">
        <v>100</v>
      </c>
      <c r="D7" s="40">
        <v>1000</v>
      </c>
      <c r="E7" s="31">
        <f>IF(ISERROR(C7/D7),"",C7/D7)</f>
        <v>0.1</v>
      </c>
      <c r="G7" s="41">
        <f>0.22402+0.10479</f>
        <v>0.32881</v>
      </c>
    </row>
    <row r="8" spans="2:7" ht="12.75">
      <c r="B8" s="38">
        <f>+EOMONTH($G$4,-1)</f>
        <v>42460</v>
      </c>
      <c r="C8" s="39">
        <v>100</v>
      </c>
      <c r="D8" s="40">
        <v>1000</v>
      </c>
      <c r="E8" s="31">
        <f>IF(ISERROR(C8/D8),"",C8/D8)</f>
        <v>0.1</v>
      </c>
      <c r="G8" s="41">
        <f>0.22402+0.10479</f>
        <v>0.32881</v>
      </c>
    </row>
    <row r="9" spans="2:7" ht="12.75">
      <c r="B9" s="38">
        <f>+EOMONTH($G$4,-2)</f>
        <v>42429</v>
      </c>
      <c r="C9" s="39">
        <v>100</v>
      </c>
      <c r="D9" s="40">
        <v>1000</v>
      </c>
      <c r="E9" s="31">
        <f aca="true" t="shared" si="0" ref="E9:E18">IF(ISERROR(C9/D9),"",C9/D9)</f>
        <v>0.1</v>
      </c>
      <c r="G9" s="41">
        <f>0.10971+0.12287</f>
        <v>0.23258</v>
      </c>
    </row>
    <row r="10" spans="2:7" ht="12.75">
      <c r="B10" s="38">
        <f>+EOMONTH($G$4,-3)</f>
        <v>42400</v>
      </c>
      <c r="C10" s="39">
        <v>100</v>
      </c>
      <c r="D10" s="40">
        <v>1000</v>
      </c>
      <c r="E10" s="31">
        <f t="shared" si="0"/>
        <v>0.1</v>
      </c>
      <c r="G10" s="41">
        <f>0.10938+0.08602</f>
        <v>0.19540000000000002</v>
      </c>
    </row>
    <row r="11" spans="2:7" ht="12.75">
      <c r="B11" s="38">
        <f>+EOMONTH($G$4,-4)</f>
        <v>42369</v>
      </c>
      <c r="C11" s="39">
        <v>100</v>
      </c>
      <c r="D11" s="40">
        <v>1000</v>
      </c>
      <c r="E11" s="31">
        <f t="shared" si="0"/>
        <v>0.1</v>
      </c>
      <c r="G11" s="41">
        <f>0.10938+0.08602</f>
        <v>0.19540000000000002</v>
      </c>
    </row>
    <row r="12" spans="2:7" ht="12.75">
      <c r="B12" s="38">
        <f>+EOMONTH($G$4,-5)</f>
        <v>42338</v>
      </c>
      <c r="C12" s="39">
        <v>100</v>
      </c>
      <c r="D12" s="40">
        <v>1000</v>
      </c>
      <c r="E12" s="31">
        <f t="shared" si="0"/>
        <v>0.1</v>
      </c>
      <c r="G12" s="41">
        <f>0.10938+0.08602</f>
        <v>0.19540000000000002</v>
      </c>
    </row>
    <row r="13" spans="2:7" ht="12.75">
      <c r="B13" s="38">
        <f>+EOMONTH($G$4,-6)</f>
        <v>42308</v>
      </c>
      <c r="C13" s="39">
        <v>100</v>
      </c>
      <c r="D13" s="40">
        <v>1000</v>
      </c>
      <c r="E13" s="31">
        <f t="shared" si="0"/>
        <v>0.1</v>
      </c>
      <c r="G13" s="41">
        <f>0.04138+0.17729</f>
        <v>0.21867</v>
      </c>
    </row>
    <row r="14" spans="2:7" ht="12.75">
      <c r="B14" s="38">
        <f>+EOMONTH($G$4,-7)</f>
        <v>42277</v>
      </c>
      <c r="C14" s="39">
        <v>100</v>
      </c>
      <c r="D14" s="40">
        <v>1000</v>
      </c>
      <c r="E14" s="31">
        <f t="shared" si="0"/>
        <v>0.1</v>
      </c>
      <c r="G14" s="41">
        <f>0.04138+0.17729</f>
        <v>0.21867</v>
      </c>
    </row>
    <row r="15" spans="2:7" ht="12.75">
      <c r="B15" s="38">
        <f>+EOMONTH($G$4,-8)</f>
        <v>42247</v>
      </c>
      <c r="C15" s="39">
        <v>100</v>
      </c>
      <c r="D15" s="40">
        <v>1000</v>
      </c>
      <c r="E15" s="31">
        <f t="shared" si="0"/>
        <v>0.1</v>
      </c>
      <c r="G15" s="41">
        <f>0.04138+0.17729</f>
        <v>0.21867</v>
      </c>
    </row>
    <row r="16" spans="2:7" ht="12.75">
      <c r="B16" s="38">
        <f>+EOMONTH($G$4,-9)</f>
        <v>42216</v>
      </c>
      <c r="C16" s="39">
        <v>100</v>
      </c>
      <c r="D16" s="40">
        <v>1000</v>
      </c>
      <c r="E16" s="31">
        <f t="shared" si="0"/>
        <v>0.1</v>
      </c>
      <c r="G16" s="41">
        <f>0.04044+0.17729</f>
        <v>0.21773</v>
      </c>
    </row>
    <row r="17" spans="2:7" ht="12.75">
      <c r="B17" s="38">
        <f>+EOMONTH($G$4,-10)</f>
        <v>42185</v>
      </c>
      <c r="C17" s="39">
        <v>100</v>
      </c>
      <c r="D17" s="40">
        <v>1000</v>
      </c>
      <c r="E17" s="31">
        <f t="shared" si="0"/>
        <v>0.1</v>
      </c>
      <c r="G17" s="41">
        <f>0.10844+0.08602</f>
        <v>0.19446</v>
      </c>
    </row>
    <row r="18" spans="2:7" ht="12.75">
      <c r="B18" s="42">
        <f>+EOMONTH($G$4,-11)</f>
        <v>42155</v>
      </c>
      <c r="C18" s="43">
        <v>100</v>
      </c>
      <c r="D18" s="44">
        <v>1000</v>
      </c>
      <c r="E18" s="45">
        <f t="shared" si="0"/>
        <v>0.1</v>
      </c>
      <c r="F18" s="8"/>
      <c r="G18" s="46">
        <f>0.10844+0.08602</f>
        <v>0.19446</v>
      </c>
    </row>
    <row r="19" spans="2:7" ht="12.75">
      <c r="B19" s="47"/>
      <c r="C19" s="48">
        <f>SUM(C7:C18)</f>
        <v>1200</v>
      </c>
      <c r="D19" s="49">
        <f>SUM(D7:D18)</f>
        <v>12000</v>
      </c>
      <c r="E19" s="50">
        <f>+AVERAGE(E7:E18)</f>
        <v>0.09999999999999999</v>
      </c>
      <c r="G19" s="50">
        <f>+AVERAGE(G7:G18)</f>
        <v>0.22825499999999996</v>
      </c>
    </row>
    <row r="20" ht="12.75">
      <c r="B20" s="28"/>
    </row>
    <row r="21" spans="2:5" ht="12.75">
      <c r="B21" s="28"/>
      <c r="D21" s="30" t="s">
        <v>33</v>
      </c>
      <c r="E21" s="52">
        <v>0.198</v>
      </c>
    </row>
    <row r="22" spans="2:7" ht="12.75">
      <c r="B22" s="16"/>
      <c r="C22" s="16"/>
      <c r="D22" s="16"/>
      <c r="E22" s="16"/>
      <c r="F22" s="16"/>
      <c r="G22" s="16"/>
    </row>
    <row r="23" spans="2:5" ht="12.75">
      <c r="B23" s="21" t="s">
        <v>16</v>
      </c>
      <c r="C23"/>
      <c r="D23"/>
      <c r="E23"/>
    </row>
    <row r="24" spans="2:5" ht="12.75">
      <c r="B24" s="22" t="s">
        <v>34</v>
      </c>
      <c r="C24"/>
      <c r="D24"/>
      <c r="E24"/>
    </row>
    <row r="25" spans="2:5" ht="12.75">
      <c r="B25" s="23" t="s">
        <v>35</v>
      </c>
      <c r="C25"/>
      <c r="D25"/>
      <c r="E25"/>
    </row>
    <row r="26" ht="12.75">
      <c r="B26" s="23" t="s">
        <v>44</v>
      </c>
    </row>
    <row r="27" ht="12.75">
      <c r="B27" s="51" t="s">
        <v>36</v>
      </c>
    </row>
    <row r="28" ht="12.75"/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productdose</dc:creator>
  <cp:keywords/>
  <dc:description/>
  <cp:lastModifiedBy>Chris</cp:lastModifiedBy>
  <cp:lastPrinted>2006-05-01T20:42:23Z</cp:lastPrinted>
  <dcterms:created xsi:type="dcterms:W3CDTF">2006-04-28T17:57:02Z</dcterms:created>
  <dcterms:modified xsi:type="dcterms:W3CDTF">2016-11-16T13:38:47Z</dcterms:modified>
  <cp:category/>
  <cp:version/>
  <cp:contentType/>
  <cp:contentStatus/>
  <cp:revision>1</cp:revision>
</cp:coreProperties>
</file>